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<sst xmlns="http://schemas.openxmlformats.org/spreadsheetml/2006/main" count="398" uniqueCount="198">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</sst>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"/>
      <sheetName val="5250-сф"/>
      <sheetName val="очік-02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120439608.68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106614386.72</v>
          </cell>
        </row>
      </sheetData>
      <sheetData sheetId="17">
        <row r="28">
          <cell r="C28">
            <v>2641568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9" sqref="E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79" t="s">
        <v>196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191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194</v>
      </c>
      <c r="N3" s="172" t="s">
        <v>188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195</v>
      </c>
      <c r="F4" s="173" t="s">
        <v>116</v>
      </c>
      <c r="G4" s="175" t="s">
        <v>167</v>
      </c>
      <c r="H4" s="177" t="s">
        <v>168</v>
      </c>
      <c r="I4" s="170" t="s">
        <v>192</v>
      </c>
      <c r="J4" s="166" t="s">
        <v>193</v>
      </c>
      <c r="K4" s="125" t="s">
        <v>174</v>
      </c>
      <c r="L4" s="132" t="s">
        <v>173</v>
      </c>
      <c r="M4" s="189"/>
      <c r="N4" s="168" t="s">
        <v>197</v>
      </c>
      <c r="O4" s="170" t="s">
        <v>136</v>
      </c>
      <c r="P4" s="172" t="s">
        <v>135</v>
      </c>
      <c r="Q4" s="133" t="s">
        <v>174</v>
      </c>
      <c r="R4" s="134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46" t="s">
        <v>187</v>
      </c>
      <c r="L5" s="164"/>
      <c r="M5" s="189"/>
      <c r="N5" s="169"/>
      <c r="O5" s="171"/>
      <c r="P5" s="172"/>
      <c r="Q5" s="146" t="s">
        <v>182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49917.71000000001</v>
      </c>
      <c r="G8" s="22">
        <f aca="true" t="shared" si="0" ref="G8:G30">F8-E8</f>
        <v>-20112.289999999994</v>
      </c>
      <c r="H8" s="51">
        <f>F8/E8*100</f>
        <v>71.2804655147794</v>
      </c>
      <c r="I8" s="36">
        <f aca="true" t="shared" si="1" ref="I8:I17">F8-D8</f>
        <v>-469411.58999999997</v>
      </c>
      <c r="J8" s="36">
        <f aca="true" t="shared" si="2" ref="J8:J14">F8/D8*100</f>
        <v>9.611957191708614</v>
      </c>
      <c r="K8" s="36">
        <f>F8-72579.4</f>
        <v>-22661.689999999988</v>
      </c>
      <c r="L8" s="138">
        <f>F8/72579.4</f>
        <v>0.687766914579068</v>
      </c>
      <c r="M8" s="22">
        <f>M10+M19+M33+M56+M68+M30</f>
        <v>35825</v>
      </c>
      <c r="N8" s="22">
        <f>N10+N19+N33+N56+N68+N30</f>
        <v>16169.55</v>
      </c>
      <c r="O8" s="36">
        <f aca="true" t="shared" si="3" ref="O8:O71">N8-M8</f>
        <v>-19655.45</v>
      </c>
      <c r="P8" s="36">
        <f>F8/M8*100</f>
        <v>139.33764131193303</v>
      </c>
      <c r="Q8" s="36">
        <f>N8-38977.9</f>
        <v>-22808.350000000002</v>
      </c>
      <c r="R8" s="136">
        <f>N8/31977.9</f>
        <v>0.5056476504085634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40656.85</v>
      </c>
      <c r="G9" s="22">
        <f t="shared" si="0"/>
        <v>40656.85</v>
      </c>
      <c r="H9" s="20"/>
      <c r="I9" s="56">
        <f t="shared" si="1"/>
        <v>-377709.35000000003</v>
      </c>
      <c r="J9" s="56">
        <f t="shared" si="2"/>
        <v>9.718005422044133</v>
      </c>
      <c r="K9" s="56"/>
      <c r="L9" s="137"/>
      <c r="M9" s="20">
        <f>M10+M17</f>
        <v>28750</v>
      </c>
      <c r="N9" s="20">
        <f>N10+N17</f>
        <v>14088.739999999998</v>
      </c>
      <c r="O9" s="36">
        <f t="shared" si="3"/>
        <v>-14661.260000000002</v>
      </c>
      <c r="P9" s="56">
        <f>F9/M9*100</f>
        <v>141.4151304347826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f>38829.43+1827.42</f>
        <v>40656.85</v>
      </c>
      <c r="G10" s="49">
        <f t="shared" si="0"/>
        <v>-15243.150000000001</v>
      </c>
      <c r="H10" s="40">
        <f aca="true" t="shared" si="4" ref="H10:H17">F10/E10*100</f>
        <v>72.7313953488372</v>
      </c>
      <c r="I10" s="56">
        <f t="shared" si="1"/>
        <v>-377709.35000000003</v>
      </c>
      <c r="J10" s="56">
        <f t="shared" si="2"/>
        <v>9.718005422044133</v>
      </c>
      <c r="K10" s="56">
        <f>F10-55122.8</f>
        <v>-14465.950000000004</v>
      </c>
      <c r="L10" s="137">
        <f>F10/55122.8</f>
        <v>0.737568664871886</v>
      </c>
      <c r="M10" s="40">
        <f>E10-'січень '!E10</f>
        <v>28750</v>
      </c>
      <c r="N10" s="40">
        <f>F10-'січень '!F10</f>
        <v>14088.739999999998</v>
      </c>
      <c r="O10" s="53">
        <f t="shared" si="3"/>
        <v>-14661.260000000002</v>
      </c>
      <c r="P10" s="56">
        <f aca="true" t="shared" si="5" ref="P10:P17">N10/M10*100</f>
        <v>49.004313043478255</v>
      </c>
      <c r="Q10" s="143">
        <f>N10-28390.4</f>
        <v>-14301.660000000003</v>
      </c>
      <c r="R10" s="144">
        <f>N10/28390.4</f>
        <v>0.49625014089269603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f>397.21+2.7</f>
        <v>399.90999999999997</v>
      </c>
      <c r="G19" s="49">
        <f t="shared" si="0"/>
        <v>199.90999999999997</v>
      </c>
      <c r="H19" s="40">
        <f aca="true" t="shared" si="6" ref="H19:H28">F19/E19*100</f>
        <v>199.95499999999998</v>
      </c>
      <c r="I19" s="56">
        <f aca="true" t="shared" si="7" ref="I19:I29">F19-D19</f>
        <v>-5600.09</v>
      </c>
      <c r="J19" s="56">
        <f aca="true" t="shared" si="8" ref="J19:J29">F19/D19*100</f>
        <v>6.665166666666666</v>
      </c>
      <c r="K19" s="56">
        <f>F19-3876</f>
        <v>-3476.09</v>
      </c>
      <c r="L19" s="137">
        <f>F19/3876</f>
        <v>0.10317595459236326</v>
      </c>
      <c r="M19" s="40">
        <f>E19-'січень '!E19</f>
        <v>100</v>
      </c>
      <c r="N19" s="40">
        <f>F19-'січень '!F19</f>
        <v>41.099999999999966</v>
      </c>
      <c r="O19" s="53">
        <f t="shared" si="3"/>
        <v>-58.900000000000034</v>
      </c>
      <c r="P19" s="56">
        <f aca="true" t="shared" si="9" ref="P19:P28">N19/M19*100</f>
        <v>41.099999999999966</v>
      </c>
      <c r="Q19" s="56">
        <f>N19-3681.4</f>
        <v>-3640.3</v>
      </c>
      <c r="R19" s="137">
        <f>N19/3681.4</f>
        <v>0.011164230999076428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47">
        <v>11010232</v>
      </c>
      <c r="D29" s="148">
        <v>3000</v>
      </c>
      <c r="E29" s="41"/>
      <c r="F29" s="150">
        <v>384.09</v>
      </c>
      <c r="G29" s="49"/>
      <c r="H29" s="40"/>
      <c r="I29" s="56">
        <f t="shared" si="7"/>
        <v>-2615.91</v>
      </c>
      <c r="J29" s="56">
        <f t="shared" si="8"/>
        <v>12.803</v>
      </c>
      <c r="K29" s="152">
        <f>F29-322.6</f>
        <v>61.48999999999995</v>
      </c>
      <c r="L29" s="153">
        <f>F29/322.6</f>
        <v>1.190607563546187</v>
      </c>
      <c r="M29" s="150">
        <f>E29-'січень '!E29</f>
        <v>0</v>
      </c>
      <c r="N29" s="150">
        <f>F29-'січень '!F29</f>
        <v>25.299999999999955</v>
      </c>
      <c r="O29" s="152"/>
      <c r="P29" s="56"/>
      <c r="Q29" s="56">
        <f>N29-162.6</f>
        <v>-137.30000000000004</v>
      </c>
      <c r="R29" s="137">
        <f>N29/162.6</f>
        <v>0.15559655596555938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f>7636.31+171.09</f>
        <v>7807.400000000001</v>
      </c>
      <c r="G33" s="49">
        <f aca="true" t="shared" si="14" ref="G33:G72">F33-E33</f>
        <v>-4992.599999999999</v>
      </c>
      <c r="H33" s="40">
        <f aca="true" t="shared" si="15" ref="H33:H67">F33/E33*100</f>
        <v>60.99531250000001</v>
      </c>
      <c r="I33" s="56">
        <f>F33-D33</f>
        <v>-80258.6</v>
      </c>
      <c r="J33" s="56">
        <f aca="true" t="shared" si="16" ref="J33:J72">F33/D33*100</f>
        <v>8.865396407240025</v>
      </c>
      <c r="K33" s="56">
        <f>F33-12535.7</f>
        <v>-4728.3</v>
      </c>
      <c r="L33" s="137">
        <f>F33/12535.7</f>
        <v>0.6228132453712198</v>
      </c>
      <c r="M33" s="40">
        <f>E33-'січень '!E33</f>
        <v>6400</v>
      </c>
      <c r="N33" s="40">
        <f>F33-'січень '!F33</f>
        <v>1514.1100000000006</v>
      </c>
      <c r="O33" s="53">
        <f t="shared" si="3"/>
        <v>-4885.889999999999</v>
      </c>
      <c r="P33" s="56">
        <f aca="true" t="shared" si="17" ref="P33:P67">N33/M33*100</f>
        <v>23.65796875000001</v>
      </c>
      <c r="Q33" s="143">
        <f>N33-6362.9</f>
        <v>-4848.789999999999</v>
      </c>
      <c r="R33" s="144">
        <f>N33/6362.9</f>
        <v>0.23795910669663214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48">
        <f>56066+10200</f>
        <v>66266</v>
      </c>
      <c r="E55" s="148">
        <v>9500</v>
      </c>
      <c r="F55" s="150">
        <f>5864.43+140.55</f>
        <v>6004.9800000000005</v>
      </c>
      <c r="G55" s="148">
        <f t="shared" si="14"/>
        <v>-3495.0199999999995</v>
      </c>
      <c r="H55" s="150">
        <f t="shared" si="15"/>
        <v>63.21031578947369</v>
      </c>
      <c r="I55" s="149">
        <f t="shared" si="18"/>
        <v>-60261.02</v>
      </c>
      <c r="J55" s="149">
        <f t="shared" si="16"/>
        <v>9.061932212597714</v>
      </c>
      <c r="K55" s="152">
        <f>F55-9287.5</f>
        <v>-3282.5199999999995</v>
      </c>
      <c r="L55" s="153">
        <f>F55/9287.5</f>
        <v>0.6465658142664873</v>
      </c>
      <c r="M55" s="150">
        <f>E55-'січень '!E55</f>
        <v>4750</v>
      </c>
      <c r="N55" s="150">
        <f>F55-'січень '!F55</f>
        <v>1317.0700000000006</v>
      </c>
      <c r="O55" s="152">
        <f t="shared" si="3"/>
        <v>-3432.9299999999994</v>
      </c>
      <c r="P55" s="60">
        <f t="shared" si="17"/>
        <v>27.727789473684222</v>
      </c>
      <c r="Q55" s="143">
        <f>N55-4413.4</f>
        <v>-3096.329999999999</v>
      </c>
      <c r="R55" s="144">
        <f>N55/4413.4</f>
        <v>0.2984252503738616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f>1048.58+1.91</f>
        <v>1050.49</v>
      </c>
      <c r="G56" s="49">
        <f t="shared" si="14"/>
        <v>-79.50999999999999</v>
      </c>
      <c r="H56" s="40">
        <f t="shared" si="15"/>
        <v>92.9637168141593</v>
      </c>
      <c r="I56" s="56">
        <f t="shared" si="18"/>
        <v>-5809.51</v>
      </c>
      <c r="J56" s="56">
        <f t="shared" si="16"/>
        <v>15.313265306122448</v>
      </c>
      <c r="K56" s="56">
        <f>F56-1019.7</f>
        <v>30.789999999999964</v>
      </c>
      <c r="L56" s="137">
        <f>F56/1019.7</f>
        <v>1.0301951554378739</v>
      </c>
      <c r="M56" s="40">
        <f>E56-'січень '!E56</f>
        <v>575</v>
      </c>
      <c r="N56" s="40">
        <f>F56-'січень '!F56</f>
        <v>522.69</v>
      </c>
      <c r="O56" s="53">
        <f t="shared" si="3"/>
        <v>-52.309999999999945</v>
      </c>
      <c r="P56" s="56">
        <f t="shared" si="17"/>
        <v>90.90260869565219</v>
      </c>
      <c r="Q56" s="56">
        <f>N56-518.3</f>
        <v>4.3900000000001</v>
      </c>
      <c r="R56" s="137">
        <f>N56/518.3</f>
        <v>1.0084699980706158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1900.69</v>
      </c>
      <c r="G74" s="50">
        <f aca="true" t="shared" si="24" ref="G74:G92">F74-E74</f>
        <v>-611.4099999999999</v>
      </c>
      <c r="H74" s="51">
        <f aca="true" t="shared" si="25" ref="H74:H86">F74/E74*100</f>
        <v>75.66139882966442</v>
      </c>
      <c r="I74" s="36">
        <f aca="true" t="shared" si="26" ref="I74:I92">F74-D74</f>
        <v>-15764.909999999998</v>
      </c>
      <c r="J74" s="36">
        <f aca="true" t="shared" si="27" ref="J74:J92">F74/D74*100</f>
        <v>10.759272257947652</v>
      </c>
      <c r="K74" s="36">
        <f>F74-2710.3</f>
        <v>-809.6100000000001</v>
      </c>
      <c r="L74" s="138">
        <f>F74/2710.3</f>
        <v>0.7012839907021363</v>
      </c>
      <c r="M74" s="22">
        <f>M77+M86+M88+M89+M94+M95+M96+M97+M99+M87</f>
        <v>1456</v>
      </c>
      <c r="N74" s="22">
        <f>N77+N86+N88+N89+N94+N95+N96+N97+N99+N32+N103+N87</f>
        <v>883.06</v>
      </c>
      <c r="O74" s="55">
        <f aca="true" t="shared" si="28" ref="O74:O92">N74-M74</f>
        <v>-572.94</v>
      </c>
      <c r="P74" s="36">
        <f>N74/M74*100</f>
        <v>60.64972527472528</v>
      </c>
      <c r="Q74" s="36">
        <f>N74-1790.3</f>
        <v>-907.24</v>
      </c>
      <c r="R74" s="138">
        <f>N74/1790.3</f>
        <v>0.49324694185332063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15.87</v>
      </c>
      <c r="G77" s="49">
        <f t="shared" si="24"/>
        <v>-285.13</v>
      </c>
      <c r="H77" s="40">
        <f t="shared" si="25"/>
        <v>5.2724252491694354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300</v>
      </c>
      <c r="N77" s="40">
        <f>F77-'січень '!F77</f>
        <v>15.87</v>
      </c>
      <c r="O77" s="53">
        <f t="shared" si="28"/>
        <v>-284.13</v>
      </c>
      <c r="P77" s="56">
        <f aca="true" t="shared" si="29" ref="P77:P86">N77/M77*100</f>
        <v>5.289999999999999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4"/>
        <v>-100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8"/>
        <v>-100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58.88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54.650000000000006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3.4</v>
      </c>
      <c r="G88" s="49">
        <f t="shared" si="24"/>
        <v>2.3</v>
      </c>
      <c r="H88" s="40">
        <f>F88/E88*100</f>
        <v>309.09090909090907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1</v>
      </c>
      <c r="N88" s="40">
        <f>F88-'січень '!F88</f>
        <v>3.4</v>
      </c>
      <c r="O88" s="53">
        <f t="shared" si="28"/>
        <v>2.4</v>
      </c>
      <c r="P88" s="56">
        <f>N88/M88*100</f>
        <v>340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f>16.96+0.39</f>
        <v>17.35</v>
      </c>
      <c r="G89" s="49">
        <f t="shared" si="24"/>
        <v>-2.6499999999999986</v>
      </c>
      <c r="H89" s="40">
        <f>F89/E89*100</f>
        <v>86.75</v>
      </c>
      <c r="I89" s="56">
        <f t="shared" si="26"/>
        <v>-157.65</v>
      </c>
      <c r="J89" s="56">
        <f t="shared" si="27"/>
        <v>9.914285714285716</v>
      </c>
      <c r="K89" s="56">
        <f>F89-31.6</f>
        <v>-14.25</v>
      </c>
      <c r="L89" s="137">
        <f>F89/31.6</f>
        <v>0.5490506329113924</v>
      </c>
      <c r="M89" s="40">
        <f>E89-'січень '!E89</f>
        <v>10</v>
      </c>
      <c r="N89" s="40">
        <f>F89-'січень '!F89</f>
        <v>8.330000000000002</v>
      </c>
      <c r="O89" s="53">
        <f t="shared" si="28"/>
        <v>-1.6699999999999982</v>
      </c>
      <c r="P89" s="56">
        <f>N89/M89*100</f>
        <v>83.30000000000001</v>
      </c>
      <c r="Q89" s="56">
        <f>N89-19.8</f>
        <v>-11.469999999999999</v>
      </c>
      <c r="R89" s="137">
        <f>N89/19.8</f>
        <v>0.4207070707070708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1147.01</v>
      </c>
      <c r="G95" s="49">
        <f t="shared" si="31"/>
        <v>-112.99000000000001</v>
      </c>
      <c r="H95" s="40">
        <f>F95/E95*100</f>
        <v>91.03253968253968</v>
      </c>
      <c r="I95" s="56">
        <f t="shared" si="32"/>
        <v>-5152.99</v>
      </c>
      <c r="J95" s="56">
        <f>F95/D95*100</f>
        <v>18.206507936507936</v>
      </c>
      <c r="K95" s="56">
        <f>F95-825</f>
        <v>322.01</v>
      </c>
      <c r="L95" s="137">
        <f>F95/825</f>
        <v>1.3903151515151515</v>
      </c>
      <c r="M95" s="40">
        <f>E95-'січень '!E95</f>
        <v>630</v>
      </c>
      <c r="N95" s="40">
        <f>F95-'січень '!F95</f>
        <v>499.52</v>
      </c>
      <c r="O95" s="53">
        <f t="shared" si="33"/>
        <v>-130.48000000000002</v>
      </c>
      <c r="P95" s="56">
        <f>N95/M95*100</f>
        <v>79.28888888888889</v>
      </c>
      <c r="Q95" s="56">
        <f>N95-186.8</f>
        <v>312.71999999999997</v>
      </c>
      <c r="R95" s="137">
        <f>N95/186.8</f>
        <v>2.674089935760171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f>107.9+1.06</f>
        <v>108.96000000000001</v>
      </c>
      <c r="G96" s="49">
        <f t="shared" si="31"/>
        <v>-61.03999999999999</v>
      </c>
      <c r="H96" s="40">
        <f>F96/E96*100</f>
        <v>64.09411764705882</v>
      </c>
      <c r="I96" s="56">
        <f t="shared" si="32"/>
        <v>-1091.04</v>
      </c>
      <c r="J96" s="56">
        <f>F96/D96*100</f>
        <v>9.08</v>
      </c>
      <c r="K96" s="56">
        <f>F96-60</f>
        <v>48.96000000000001</v>
      </c>
      <c r="L96" s="137">
        <f>F96/60</f>
        <v>1.816</v>
      </c>
      <c r="M96" s="40">
        <f>E96-'січень '!E96</f>
        <v>85</v>
      </c>
      <c r="N96" s="40">
        <f>F96-'січень '!F96</f>
        <v>29.450000000000003</v>
      </c>
      <c r="O96" s="53">
        <f t="shared" si="33"/>
        <v>-55.55</v>
      </c>
      <c r="P96" s="56">
        <f>N96/M96*100</f>
        <v>34.64705882352941</v>
      </c>
      <c r="Q96" s="56">
        <f>N96-42.8</f>
        <v>-13.349999999999994</v>
      </c>
      <c r="R96" s="137">
        <f>N96/42.8</f>
        <v>0.6880841121495328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f>544.91+4.31</f>
        <v>549.2199999999999</v>
      </c>
      <c r="G99" s="49">
        <f t="shared" si="31"/>
        <v>-110.78000000000009</v>
      </c>
      <c r="H99" s="40">
        <f>F99/E99*100</f>
        <v>83.2151515151515</v>
      </c>
      <c r="I99" s="56">
        <f t="shared" si="32"/>
        <v>-3330.78</v>
      </c>
      <c r="J99" s="56">
        <f>F99/D99*100</f>
        <v>14.155154639175255</v>
      </c>
      <c r="K99" s="56">
        <f>F99-488.6</f>
        <v>60.61999999999989</v>
      </c>
      <c r="L99" s="137">
        <f>F99/488.6</f>
        <v>1.1240687679083092</v>
      </c>
      <c r="M99" s="40">
        <f>E99-'січень '!E99</f>
        <v>330</v>
      </c>
      <c r="N99" s="40">
        <f>F99-'січень '!F99</f>
        <v>271.8399999999999</v>
      </c>
      <c r="O99" s="53">
        <f t="shared" si="33"/>
        <v>-58.16000000000008</v>
      </c>
      <c r="P99" s="56">
        <f>N99/M99*100</f>
        <v>82.37575757575755</v>
      </c>
      <c r="Q99" s="56">
        <f>N99-252.2</f>
        <v>19.63999999999993</v>
      </c>
      <c r="R99" s="137">
        <f>N99/252.2</f>
        <v>1.0778747026169704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8"/>
      <c r="E102" s="148"/>
      <c r="F102" s="150">
        <v>123.2</v>
      </c>
      <c r="G102" s="148"/>
      <c r="H102" s="150"/>
      <c r="I102" s="149"/>
      <c r="J102" s="149"/>
      <c r="K102" s="152">
        <f>F102-54.4</f>
        <v>68.80000000000001</v>
      </c>
      <c r="L102" s="153">
        <f>F102/54.4</f>
        <v>2.264705882352941</v>
      </c>
      <c r="M102" s="150">
        <f>E102-'січень '!E102</f>
        <v>0</v>
      </c>
      <c r="N102" s="150">
        <f>F102-'січень '!F102</f>
        <v>58.5</v>
      </c>
      <c r="O102" s="53"/>
      <c r="P102" s="60"/>
      <c r="Q102" s="60">
        <f>N102-26.6</f>
        <v>31.9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2.68</v>
      </c>
      <c r="G104" s="49">
        <f>F104-E104</f>
        <v>0.6800000000000002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1</v>
      </c>
      <c r="N104" s="40">
        <f>F104-'січень '!F104</f>
        <v>0.4700000000000002</v>
      </c>
      <c r="O104" s="53">
        <f t="shared" si="35"/>
        <v>-0.5299999999999998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51821.08000000001</v>
      </c>
      <c r="G106" s="50">
        <f>F106-E106</f>
        <v>-20723.019999999997</v>
      </c>
      <c r="H106" s="51">
        <f>F106/E106*100</f>
        <v>71.43390020690863</v>
      </c>
      <c r="I106" s="36">
        <f t="shared" si="34"/>
        <v>-485218.82</v>
      </c>
      <c r="J106" s="36">
        <f t="shared" si="36"/>
        <v>9.649391041522241</v>
      </c>
      <c r="K106" s="36">
        <f>F106-75300.9</f>
        <v>-23479.819999999985</v>
      </c>
      <c r="L106" s="138">
        <f>F106/75300.9</f>
        <v>0.6881867281798758</v>
      </c>
      <c r="M106" s="22">
        <f>M8+M74+M104+M105</f>
        <v>37282</v>
      </c>
      <c r="N106" s="22">
        <f>N8+N74+N104+N105</f>
        <v>17053.08</v>
      </c>
      <c r="O106" s="55">
        <f t="shared" si="35"/>
        <v>-20228.92</v>
      </c>
      <c r="P106" s="36">
        <f>N106/M106*100</f>
        <v>45.740786438495796</v>
      </c>
      <c r="Q106" s="36">
        <f>N106-40779.2</f>
        <v>-23726.119999999995</v>
      </c>
      <c r="R106" s="138">
        <f>N106/40779.2</f>
        <v>0.4181808372895987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40765.81</v>
      </c>
      <c r="G107" s="71">
        <f>G10-G18+G96</f>
        <v>-15304.190000000002</v>
      </c>
      <c r="H107" s="72">
        <f>F107/E107*100</f>
        <v>72.70520777599428</v>
      </c>
      <c r="I107" s="52">
        <f t="shared" si="34"/>
        <v>-378800.39</v>
      </c>
      <c r="J107" s="52">
        <f t="shared" si="36"/>
        <v>9.716180664696058</v>
      </c>
      <c r="K107" s="52">
        <f>F107-55213.7</f>
        <v>-14447.89</v>
      </c>
      <c r="L107" s="139">
        <f>F107/55213.7</f>
        <v>0.7383278063234306</v>
      </c>
      <c r="M107" s="71">
        <f>M10-M18+M96</f>
        <v>28835</v>
      </c>
      <c r="N107" s="71">
        <f>N10-N18+N96</f>
        <v>14118.189999999999</v>
      </c>
      <c r="O107" s="53">
        <f t="shared" si="35"/>
        <v>-14716.810000000001</v>
      </c>
      <c r="P107" s="52">
        <f>N107/M107*100</f>
        <v>48.96199063637939</v>
      </c>
      <c r="Q107" s="52">
        <f>N107-28449</f>
        <v>-14330.810000000001</v>
      </c>
      <c r="R107" s="139">
        <f>N107/28449</f>
        <v>0.4962631375443776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11055.270000000011</v>
      </c>
      <c r="G108" s="62">
        <f>F108-E108</f>
        <v>-5418.8299999999945</v>
      </c>
      <c r="H108" s="72">
        <f>F108/E108*100</f>
        <v>67.10697397733416</v>
      </c>
      <c r="I108" s="52">
        <f t="shared" si="34"/>
        <v>-106418.43</v>
      </c>
      <c r="J108" s="52">
        <f t="shared" si="36"/>
        <v>9.410846853380809</v>
      </c>
      <c r="K108" s="52">
        <f>F108-20087.2</f>
        <v>-9031.92999999999</v>
      </c>
      <c r="L108" s="139">
        <f>F108/20087.2</f>
        <v>0.5503639133378475</v>
      </c>
      <c r="M108" s="71">
        <f>M106-M107</f>
        <v>8447</v>
      </c>
      <c r="N108" s="71">
        <f>N106-N107</f>
        <v>2934.890000000003</v>
      </c>
      <c r="O108" s="53">
        <f t="shared" si="35"/>
        <v>-5512.109999999997</v>
      </c>
      <c r="P108" s="52">
        <f>N108/M108*100</f>
        <v>34.74476145377061</v>
      </c>
      <c r="Q108" s="52">
        <f>N108-12330.3</f>
        <v>-9395.409999999996</v>
      </c>
      <c r="R108" s="139">
        <f>N108/12330.3</f>
        <v>0.23802259474627568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40765.81</v>
      </c>
      <c r="G109" s="111">
        <f>F109-E109</f>
        <v>-19248.89</v>
      </c>
      <c r="H109" s="72">
        <f>F109/E109*100</f>
        <v>67.92637470486397</v>
      </c>
      <c r="I109" s="81">
        <f t="shared" si="34"/>
        <v>-378800.39</v>
      </c>
      <c r="J109" s="52">
        <f t="shared" si="36"/>
        <v>9.716180664696058</v>
      </c>
      <c r="K109" s="52"/>
      <c r="L109" s="139"/>
      <c r="M109" s="122">
        <f>E109-'січень '!E109</f>
        <v>31301.299999999996</v>
      </c>
      <c r="N109" s="71">
        <f>N107</f>
        <v>14118.189999999999</v>
      </c>
      <c r="O109" s="118">
        <f t="shared" si="35"/>
        <v>-17183.109999999997</v>
      </c>
      <c r="P109" s="52">
        <f>N109/M109*100</f>
        <v>45.10416500273152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2641.568</v>
      </c>
      <c r="G110" s="62">
        <f>F110-E110</f>
        <v>-577.8429999999998</v>
      </c>
      <c r="H110" s="72"/>
      <c r="I110" s="85">
        <f t="shared" si="34"/>
        <v>-2228.812</v>
      </c>
      <c r="J110" s="52"/>
      <c r="K110" s="52"/>
      <c r="L110" s="139"/>
      <c r="M110" s="40">
        <f>E110-'січень '!E110</f>
        <v>1650.981</v>
      </c>
      <c r="N110" s="71">
        <f>F110-'січень '!F110</f>
        <v>1073.1370000000002</v>
      </c>
      <c r="O110" s="86"/>
      <c r="P110" s="52">
        <f>N110/M110*100</f>
        <v>64.99996062946819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f>127.2+1.097</f>
        <v>128.297</v>
      </c>
      <c r="G114" s="49">
        <f t="shared" si="37"/>
        <v>-997.7529999999999</v>
      </c>
      <c r="H114" s="40">
        <f aca="true" t="shared" si="39" ref="H114:H125">F114/E114*100</f>
        <v>11.393543803561121</v>
      </c>
      <c r="I114" s="60">
        <f t="shared" si="38"/>
        <v>-3543.203</v>
      </c>
      <c r="J114" s="60">
        <f aca="true" t="shared" si="40" ref="J114:J120">F114/D114*100</f>
        <v>3.494402832629715</v>
      </c>
      <c r="K114" s="60">
        <f>F114-605.5</f>
        <v>-477.203</v>
      </c>
      <c r="L114" s="140">
        <f>F114/605.5</f>
        <v>0.2118860445912469</v>
      </c>
      <c r="M114" s="40">
        <f>E114-'січень '!E114</f>
        <v>563.02</v>
      </c>
      <c r="N114" s="40">
        <f>F114-'січень '!F114</f>
        <v>60.157</v>
      </c>
      <c r="O114" s="53">
        <f aca="true" t="shared" si="41" ref="O114:O125">N114-M114</f>
        <v>-502.863</v>
      </c>
      <c r="P114" s="60">
        <f>N114/M114*100</f>
        <v>10.684700365883982</v>
      </c>
      <c r="Q114" s="60">
        <f>N114-358.7</f>
        <v>-298.543</v>
      </c>
      <c r="R114" s="140">
        <f>N114/358.7</f>
        <v>0.1677083914134374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46.69</v>
      </c>
      <c r="G115" s="49">
        <f t="shared" si="37"/>
        <v>-3.3100000000000023</v>
      </c>
      <c r="H115" s="40">
        <f t="shared" si="39"/>
        <v>93.38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25</v>
      </c>
      <c r="N115" s="40">
        <f>F115-'січень '!F115</f>
        <v>22.159999999999997</v>
      </c>
      <c r="O115" s="53">
        <f t="shared" si="41"/>
        <v>-2.8400000000000034</v>
      </c>
      <c r="P115" s="60">
        <f>N115/M115*100</f>
        <v>88.63999999999999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172.377</v>
      </c>
      <c r="G116" s="62">
        <f t="shared" si="37"/>
        <v>-1003.673</v>
      </c>
      <c r="H116" s="72">
        <f t="shared" si="39"/>
        <v>14.657284979380131</v>
      </c>
      <c r="I116" s="61">
        <f t="shared" si="38"/>
        <v>-3767.223</v>
      </c>
      <c r="J116" s="61">
        <f t="shared" si="40"/>
        <v>4.3754949741090465</v>
      </c>
      <c r="K116" s="61">
        <f>F116-648.9</f>
        <v>-476.52299999999997</v>
      </c>
      <c r="L116" s="141">
        <f>F116/648.9</f>
        <v>0.26564493758668517</v>
      </c>
      <c r="M116" s="62">
        <f>M114+M115+M113</f>
        <v>588.02</v>
      </c>
      <c r="N116" s="38">
        <f>SUM(N113:N115)</f>
        <v>79.52699999999999</v>
      </c>
      <c r="O116" s="61">
        <f t="shared" si="41"/>
        <v>-508.493</v>
      </c>
      <c r="P116" s="61">
        <f>N116/M116*100</f>
        <v>13.524539981633277</v>
      </c>
      <c r="Q116" s="61">
        <f>N116-378.9</f>
        <v>-299.373</v>
      </c>
      <c r="R116" s="141">
        <f>N116/378.9</f>
        <v>0.209889152810768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f>55.63+0.197</f>
        <v>55.827000000000005</v>
      </c>
      <c r="G118" s="49">
        <f t="shared" si="37"/>
        <v>55.827000000000005</v>
      </c>
      <c r="H118" s="40" t="e">
        <f t="shared" si="39"/>
        <v>#DIV/0!</v>
      </c>
      <c r="I118" s="60">
        <f t="shared" si="38"/>
        <v>55.827000000000005</v>
      </c>
      <c r="J118" s="60" t="e">
        <f t="shared" si="40"/>
        <v>#DIV/0!</v>
      </c>
      <c r="K118" s="60">
        <f>F118-5.2</f>
        <v>50.627</v>
      </c>
      <c r="L118" s="140">
        <f>F118/5.2</f>
        <v>10.73596153846154</v>
      </c>
      <c r="M118" s="40">
        <f>E118-'січень '!E118</f>
        <v>0</v>
      </c>
      <c r="N118" s="40">
        <f>F118-'січень '!F118</f>
        <v>1.507000000000005</v>
      </c>
      <c r="O118" s="53" t="s">
        <v>166</v>
      </c>
      <c r="P118" s="60"/>
      <c r="Q118" s="60">
        <f>N118-5</f>
        <v>-3.492999999999995</v>
      </c>
      <c r="R118" s="140">
        <f>N118/5</f>
        <v>0.301400000000001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f>14510.3+1457.83</f>
        <v>15968.13</v>
      </c>
      <c r="G119" s="49">
        <f t="shared" si="37"/>
        <v>15968.13</v>
      </c>
      <c r="H119" s="40" t="e">
        <f t="shared" si="39"/>
        <v>#DIV/0!</v>
      </c>
      <c r="I119" s="53">
        <f t="shared" si="38"/>
        <v>-10019.255</v>
      </c>
      <c r="J119" s="60">
        <f t="shared" si="40"/>
        <v>61.44569759519859</v>
      </c>
      <c r="K119" s="60">
        <f>F119-14451.2</f>
        <v>1516.9299999999985</v>
      </c>
      <c r="L119" s="140">
        <f>F119/14451.2</f>
        <v>1.1049691375110717</v>
      </c>
      <c r="M119" s="40">
        <f>E119-'січень '!E119</f>
        <v>0</v>
      </c>
      <c r="N119" s="40">
        <f>F119-'січень '!F119</f>
        <v>8488.27</v>
      </c>
      <c r="O119" s="53">
        <f t="shared" si="41"/>
        <v>8488.27</v>
      </c>
      <c r="P119" s="60" t="e">
        <f aca="true" t="shared" si="42" ref="P119:P124">N119/M119*100</f>
        <v>#DIV/0!</v>
      </c>
      <c r="Q119" s="60">
        <f>N119-8093.7</f>
        <v>394.5700000000006</v>
      </c>
      <c r="R119" s="140">
        <f>N119/8093.7</f>
        <v>1.0487502625498846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f>66.75+226.73</f>
        <v>293.48</v>
      </c>
      <c r="G120" s="49">
        <f t="shared" si="37"/>
        <v>293.48</v>
      </c>
      <c r="H120" s="40" t="e">
        <f t="shared" si="39"/>
        <v>#DIV/0!</v>
      </c>
      <c r="I120" s="60">
        <f t="shared" si="38"/>
        <v>293.48</v>
      </c>
      <c r="J120" s="60" t="e">
        <f t="shared" si="40"/>
        <v>#DIV/0!</v>
      </c>
      <c r="K120" s="60">
        <f>F120-280.4</f>
        <v>13.080000000000041</v>
      </c>
      <c r="L120" s="140">
        <f>F120/230.3*100</f>
        <v>127.43378202344769</v>
      </c>
      <c r="M120" s="40">
        <f>E120-'січень '!E120</f>
        <v>0</v>
      </c>
      <c r="N120" s="40">
        <f>F120-'січень '!F120</f>
        <v>293.44</v>
      </c>
      <c r="O120" s="53">
        <f t="shared" si="41"/>
        <v>293.44</v>
      </c>
      <c r="P120" s="60" t="e">
        <f t="shared" si="42"/>
        <v>#DIV/0!</v>
      </c>
      <c r="Q120" s="60">
        <f>N120-230.3</f>
        <v>63.139999999999986</v>
      </c>
      <c r="R120" s="140">
        <f>N120/230.3</f>
        <v>1.2741641337386018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f>649.2+2.54</f>
        <v>651.74</v>
      </c>
      <c r="G121" s="49">
        <f t="shared" si="37"/>
        <v>651.74</v>
      </c>
      <c r="H121" s="40" t="e">
        <f t="shared" si="39"/>
        <v>#DIV/0!</v>
      </c>
      <c r="I121" s="60">
        <f t="shared" si="38"/>
        <v>651.74</v>
      </c>
      <c r="J121" s="60" t="e">
        <f>F121/D121*100</f>
        <v>#DIV/0!</v>
      </c>
      <c r="K121" s="60">
        <f>F121-238.5</f>
        <v>413.24</v>
      </c>
      <c r="L121" s="140">
        <f>F121/280.4</f>
        <v>2.32432239657632</v>
      </c>
      <c r="M121" s="40">
        <f>E121-'січень '!E121</f>
        <v>0</v>
      </c>
      <c r="N121" s="40">
        <f>F121-'січень '!F121</f>
        <v>201.73000000000002</v>
      </c>
      <c r="O121" s="53">
        <f t="shared" si="41"/>
        <v>201.73000000000002</v>
      </c>
      <c r="P121" s="60" t="e">
        <f t="shared" si="42"/>
        <v>#DIV/0!</v>
      </c>
      <c r="Q121" s="60">
        <f>N121-50.2</f>
        <v>151.53000000000003</v>
      </c>
      <c r="R121" s="140">
        <f>N121/50.2</f>
        <v>4.018525896414343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7"/>
        <v>45.1</v>
      </c>
      <c r="H122" s="40" t="e">
        <f t="shared" si="39"/>
        <v>#DIV/0!</v>
      </c>
      <c r="I122" s="60">
        <f t="shared" si="38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1"/>
        <v>44.050000000000004</v>
      </c>
      <c r="P122" s="60" t="e">
        <f t="shared" si="42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17014.277</v>
      </c>
      <c r="G123" s="62">
        <f t="shared" si="37"/>
        <v>17014.277</v>
      </c>
      <c r="H123" s="72" t="e">
        <f t="shared" si="39"/>
        <v>#DIV/0!</v>
      </c>
      <c r="I123" s="61">
        <f t="shared" si="38"/>
        <v>-8973.108</v>
      </c>
      <c r="J123" s="61">
        <f>F123/D123*100</f>
        <v>65.47129309085928</v>
      </c>
      <c r="K123" s="61">
        <f>F123-15573.7</f>
        <v>1440.5769999999975</v>
      </c>
      <c r="L123" s="141">
        <f>F123/15573.7</f>
        <v>1.092500626055465</v>
      </c>
      <c r="M123" s="62">
        <f>M119+M120+M121+M122+M118</f>
        <v>0</v>
      </c>
      <c r="N123" s="62">
        <f>N119+N120+N121+N122+N118</f>
        <v>9028.997</v>
      </c>
      <c r="O123" s="61">
        <f t="shared" si="41"/>
        <v>9028.997</v>
      </c>
      <c r="P123" s="61" t="e">
        <f t="shared" si="42"/>
        <v>#DIV/0!</v>
      </c>
      <c r="Q123" s="61">
        <f>N123-8732.6</f>
        <v>296.396999999999</v>
      </c>
      <c r="R123" s="141">
        <f>N123/8732.6</f>
        <v>1.0339414378306575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7"/>
        <v>0.16</v>
      </c>
      <c r="H124" s="40" t="e">
        <f t="shared" si="39"/>
        <v>#DIV/0!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1"/>
        <v>0</v>
      </c>
      <c r="P124" s="60" t="e">
        <f t="shared" si="42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f>117.11+3366.86</f>
        <v>3483.9700000000003</v>
      </c>
      <c r="G127" s="49">
        <f aca="true" t="shared" si="43" ref="G127:G134">F127-E127</f>
        <v>2023.7800000000002</v>
      </c>
      <c r="H127" s="40">
        <f>F127/E127*100</f>
        <v>238.5970318931098</v>
      </c>
      <c r="I127" s="60">
        <f aca="true" t="shared" si="44" ref="I127:I134">F127-D127</f>
        <v>-5216.03</v>
      </c>
      <c r="J127" s="60">
        <f>F127/D127*100</f>
        <v>40.04563218390805</v>
      </c>
      <c r="K127" s="60">
        <f>F127-2439.3</f>
        <v>1044.67</v>
      </c>
      <c r="L127" s="140">
        <f>F127/2439.3</f>
        <v>1.4282663059074325</v>
      </c>
      <c r="M127" s="40">
        <f>E127-'січень '!E127</f>
        <v>730.09</v>
      </c>
      <c r="N127" s="40">
        <f>F127-'січень '!F127</f>
        <v>3466.3</v>
      </c>
      <c r="O127" s="53">
        <f aca="true" t="shared" si="45" ref="O127:O134">N127-M127</f>
        <v>2736.21</v>
      </c>
      <c r="P127" s="60">
        <f>N127/M127*100</f>
        <v>474.7770822775275</v>
      </c>
      <c r="Q127" s="60">
        <f>N127-2355</f>
        <v>1111.3000000000002</v>
      </c>
      <c r="R127" s="140">
        <f>N127/2355</f>
        <v>1.4718895966029726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3"/>
        <v>-0.16</v>
      </c>
      <c r="H128" s="40"/>
      <c r="I128" s="60">
        <f t="shared" si="44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5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3492.7300000000005</v>
      </c>
      <c r="G129" s="62">
        <f t="shared" si="43"/>
        <v>2032.5400000000004</v>
      </c>
      <c r="H129" s="72">
        <f>F129/E129*100</f>
        <v>239.1969538210781</v>
      </c>
      <c r="I129" s="61">
        <f t="shared" si="44"/>
        <v>-5257.97</v>
      </c>
      <c r="J129" s="61">
        <f>F129/D129*100</f>
        <v>39.913721188019245</v>
      </c>
      <c r="K129" s="61">
        <f>F129-2474.4</f>
        <v>1018.3300000000004</v>
      </c>
      <c r="L129" s="141">
        <f>G129/2474.4</f>
        <v>0.8214274167474945</v>
      </c>
      <c r="M129" s="62">
        <f>M124+M127+M128+M126</f>
        <v>730.09</v>
      </c>
      <c r="N129" s="62">
        <f>N124+N127+N128+N126</f>
        <v>3466.3500000000004</v>
      </c>
      <c r="O129" s="61">
        <f t="shared" si="45"/>
        <v>2736.26</v>
      </c>
      <c r="P129" s="61">
        <f>N129/M129*100</f>
        <v>474.7839307482639</v>
      </c>
      <c r="Q129" s="61">
        <f>N129-2389.7</f>
        <v>1076.6500000000005</v>
      </c>
      <c r="R129" s="139">
        <f>N129/2389.7</f>
        <v>1.4505377244005526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3"/>
        <v>-18.48</v>
      </c>
      <c r="H132" s="40">
        <f>F132/E132*100</f>
        <v>0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5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20679.834</v>
      </c>
      <c r="G133" s="50">
        <f t="shared" si="43"/>
        <v>17421.113999999998</v>
      </c>
      <c r="H133" s="51">
        <f>F133/E133*100</f>
        <v>634.5999042568861</v>
      </c>
      <c r="I133" s="36">
        <f t="shared" si="44"/>
        <v>-18027.851</v>
      </c>
      <c r="J133" s="36">
        <f>F133/D133*100</f>
        <v>53.425654362951434</v>
      </c>
      <c r="K133" s="36">
        <f>F133-18698.1</f>
        <v>1981.7340000000004</v>
      </c>
      <c r="L133" s="138">
        <f>F133/18698.1</f>
        <v>1.1059858488295602</v>
      </c>
      <c r="M133" s="31">
        <f>M116+M130+M123+M129+M132+M131</f>
        <v>1629.3500000000001</v>
      </c>
      <c r="N133" s="31">
        <f>N116+N130+N123+N129+N132+N131</f>
        <v>12574.874</v>
      </c>
      <c r="O133" s="36">
        <f t="shared" si="45"/>
        <v>10945.524</v>
      </c>
      <c r="P133" s="36">
        <f>N133/M133*100</f>
        <v>771.7724245864915</v>
      </c>
      <c r="Q133" s="36">
        <f>N133-11501.6</f>
        <v>1073.2739999999994</v>
      </c>
      <c r="R133" s="138">
        <f>N133/11501.6</f>
        <v>1.0933151909299574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72500.914</v>
      </c>
      <c r="G134" s="50">
        <f t="shared" si="43"/>
        <v>-3301.9060000000027</v>
      </c>
      <c r="H134" s="51">
        <f>F134/E134*100</f>
        <v>95.64408553665945</v>
      </c>
      <c r="I134" s="36">
        <f t="shared" si="44"/>
        <v>-503246.671</v>
      </c>
      <c r="J134" s="36">
        <f>F134/D134*100</f>
        <v>12.592482519922338</v>
      </c>
      <c r="K134" s="36">
        <f>F134-93999</f>
        <v>-21498.085999999996</v>
      </c>
      <c r="L134" s="138">
        <f>F134/93999</f>
        <v>0.7712945244098341</v>
      </c>
      <c r="M134" s="22">
        <f>M106+M133</f>
        <v>38911.35</v>
      </c>
      <c r="N134" s="22">
        <f>N106+N133</f>
        <v>29627.954</v>
      </c>
      <c r="O134" s="36">
        <f t="shared" si="45"/>
        <v>-9283.395999999997</v>
      </c>
      <c r="P134" s="36">
        <f>N134/M134*100</f>
        <v>76.14218987519067</v>
      </c>
      <c r="Q134" s="36">
        <f>N134-52280.8</f>
        <v>-22652.846</v>
      </c>
      <c r="R134" s="138">
        <f>N134/52280.8</f>
        <v>0.5667081222934615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7</v>
      </c>
      <c r="D136" s="4" t="s">
        <v>118</v>
      </c>
    </row>
    <row r="137" spans="2:17" ht="31.5">
      <c r="B137" s="78" t="s">
        <v>154</v>
      </c>
      <c r="C137" s="39">
        <f>IF(O106&lt;0,ABS(O106/C136),0)</f>
        <v>2889.845714285714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41689</v>
      </c>
      <c r="D138" s="39">
        <v>2008.9</v>
      </c>
      <c r="N138" s="145"/>
      <c r="O138" s="145"/>
    </row>
    <row r="139" spans="3:15" ht="15.75">
      <c r="C139" s="120">
        <v>41688</v>
      </c>
      <c r="D139" s="39">
        <v>1029.2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45"/>
      <c r="O139" s="145"/>
    </row>
    <row r="140" spans="3:15" ht="15.75">
      <c r="C140" s="120">
        <v>41687</v>
      </c>
      <c r="D140" s="39">
        <v>707.6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45"/>
      <c r="O140" s="145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120439.60868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106614.38672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6" sqref="F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79" t="s">
        <v>186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181</v>
      </c>
      <c r="N3" s="172" t="s">
        <v>180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177</v>
      </c>
      <c r="J4" s="166" t="s">
        <v>178</v>
      </c>
      <c r="K4" s="125" t="s">
        <v>174</v>
      </c>
      <c r="L4" s="132" t="s">
        <v>173</v>
      </c>
      <c r="M4" s="189"/>
      <c r="N4" s="168" t="s">
        <v>189</v>
      </c>
      <c r="O4" s="170" t="s">
        <v>136</v>
      </c>
      <c r="P4" s="172" t="s">
        <v>135</v>
      </c>
      <c r="Q4" s="133" t="s">
        <v>174</v>
      </c>
      <c r="R4" s="134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46" t="s">
        <v>179</v>
      </c>
      <c r="L5" s="164"/>
      <c r="M5" s="189"/>
      <c r="N5" s="169"/>
      <c r="O5" s="171"/>
      <c r="P5" s="172"/>
      <c r="Q5" s="146" t="s">
        <v>182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47">
        <v>11010232</v>
      </c>
      <c r="D29" s="41"/>
      <c r="E29" s="41"/>
      <c r="F29" s="150">
        <v>358.79</v>
      </c>
      <c r="G29" s="49"/>
      <c r="H29" s="40"/>
      <c r="I29" s="56"/>
      <c r="J29" s="56"/>
      <c r="K29" s="149">
        <f>F29-160.03</f>
        <v>198.76000000000002</v>
      </c>
      <c r="L29" s="149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48">
        <v>28580</v>
      </c>
      <c r="E55" s="148">
        <v>4750</v>
      </c>
      <c r="F55" s="150">
        <v>4687.91</v>
      </c>
      <c r="G55" s="148">
        <f t="shared" si="14"/>
        <v>-62.090000000000146</v>
      </c>
      <c r="H55" s="150">
        <f t="shared" si="15"/>
        <v>98.69284210526315</v>
      </c>
      <c r="I55" s="149">
        <f t="shared" si="18"/>
        <v>-23892.09</v>
      </c>
      <c r="J55" s="149">
        <f t="shared" si="16"/>
        <v>16.402764170748775</v>
      </c>
      <c r="K55" s="149">
        <f>F55-4574.19</f>
        <v>113.72000000000025</v>
      </c>
      <c r="L55" s="149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8" ref="G74:G92">F74-E74</f>
        <v>-38.469999999999914</v>
      </c>
      <c r="H74" s="51">
        <f aca="true" t="shared" si="29" ref="H74:H86">F74/E74*100</f>
        <v>96.3573525234353</v>
      </c>
      <c r="I74" s="36">
        <f aca="true" t="shared" si="30" ref="I74:I92">F74-D74</f>
        <v>-6688.47</v>
      </c>
      <c r="J74" s="36">
        <f aca="true" t="shared" si="31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2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8"/>
        <v>-1</v>
      </c>
      <c r="H77" s="40">
        <f t="shared" si="29"/>
        <v>0</v>
      </c>
      <c r="I77" s="56">
        <f t="shared" si="30"/>
        <v>-671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2"/>
        <v>-1</v>
      </c>
      <c r="P77" s="56">
        <f aca="true" t="shared" si="33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-700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8"/>
        <v>-0.1</v>
      </c>
      <c r="H88" s="40">
        <f>F88/E88*100</f>
        <v>0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0.1</v>
      </c>
      <c r="N88" s="40">
        <f t="shared" si="36"/>
        <v>0</v>
      </c>
      <c r="O88" s="53">
        <f t="shared" si="32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8"/>
        <v>-0.9800000000000004</v>
      </c>
      <c r="H89" s="40">
        <f>F89/E89*100</f>
        <v>90.19999999999999</v>
      </c>
      <c r="I89" s="56">
        <f t="shared" si="30"/>
        <v>-50.980000000000004</v>
      </c>
      <c r="J89" s="56">
        <f t="shared" si="31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5"/>
        <v>10</v>
      </c>
      <c r="N89" s="40">
        <f t="shared" si="36"/>
        <v>9.02</v>
      </c>
      <c r="O89" s="53">
        <f t="shared" si="32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7"/>
        <v>17.49000000000001</v>
      </c>
      <c r="H95" s="40">
        <f>F95/E95*100</f>
        <v>102.7761904761905</v>
      </c>
      <c r="I95" s="56">
        <f t="shared" si="38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5"/>
        <v>630</v>
      </c>
      <c r="N95" s="40">
        <f t="shared" si="36"/>
        <v>647.49</v>
      </c>
      <c r="O95" s="53">
        <f t="shared" si="39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7"/>
        <v>-5.489999999999995</v>
      </c>
      <c r="H96" s="40">
        <f>F96/E96*100</f>
        <v>93.54117647058824</v>
      </c>
      <c r="I96" s="56">
        <f t="shared" si="38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5"/>
        <v>85</v>
      </c>
      <c r="N96" s="40">
        <f t="shared" si="36"/>
        <v>79.51</v>
      </c>
      <c r="O96" s="53">
        <f t="shared" si="39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7"/>
        <v>-52.620000000000005</v>
      </c>
      <c r="H99" s="40">
        <f>F99/E99*100</f>
        <v>84.05454545454545</v>
      </c>
      <c r="I99" s="56">
        <f t="shared" si="38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5"/>
        <v>330</v>
      </c>
      <c r="N99" s="40">
        <f t="shared" si="36"/>
        <v>277.38</v>
      </c>
      <c r="O99" s="53">
        <f t="shared" si="39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8"/>
      <c r="E102" s="148"/>
      <c r="F102" s="151">
        <v>64.7</v>
      </c>
      <c r="G102" s="148"/>
      <c r="H102" s="150"/>
      <c r="I102" s="149"/>
      <c r="J102" s="149"/>
      <c r="K102" s="149">
        <f>F102-30.6</f>
        <v>34.1</v>
      </c>
      <c r="L102" s="152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40"/>
        <v>-3.79</v>
      </c>
      <c r="J104" s="56">
        <f aca="true" t="shared" si="42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5"/>
        <v>1</v>
      </c>
      <c r="N104" s="40">
        <f t="shared" si="36"/>
        <v>2.21</v>
      </c>
      <c r="O104" s="53">
        <f t="shared" si="41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40"/>
        <v>-196209.2</v>
      </c>
      <c r="J106" s="36">
        <f t="shared" si="42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1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40"/>
        <v>-154082.38</v>
      </c>
      <c r="J107" s="52">
        <f t="shared" si="42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1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40"/>
        <v>-42126.82000000001</v>
      </c>
      <c r="J108" s="52">
        <f t="shared" si="42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1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1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3"/>
        <v>-494.89</v>
      </c>
      <c r="H114" s="40">
        <f aca="true" t="shared" si="46" ref="H114:H125">F114/E114*100</f>
        <v>12.102374651439533</v>
      </c>
      <c r="I114" s="60">
        <f t="shared" si="44"/>
        <v>-3310.02</v>
      </c>
      <c r="J114" s="60">
        <f aca="true" t="shared" si="47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 t="shared" si="45"/>
        <v>563.03</v>
      </c>
      <c r="N114" s="40">
        <f t="shared" si="45"/>
        <v>68.14</v>
      </c>
      <c r="O114" s="53">
        <f aca="true" t="shared" si="48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3"/>
        <v>-0.46999999999999886</v>
      </c>
      <c r="H115" s="40">
        <f t="shared" si="46"/>
        <v>98.12</v>
      </c>
      <c r="I115" s="60">
        <f t="shared" si="44"/>
        <v>-125.47</v>
      </c>
      <c r="J115" s="60">
        <f t="shared" si="47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25</v>
      </c>
      <c r="N115" s="40">
        <f t="shared" si="45"/>
        <v>24.53</v>
      </c>
      <c r="O115" s="53">
        <f t="shared" si="48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3"/>
        <v>-495.17999999999995</v>
      </c>
      <c r="H116" s="72">
        <f t="shared" si="46"/>
        <v>15.790010713739097</v>
      </c>
      <c r="I116" s="61">
        <f t="shared" si="44"/>
        <v>-3435.31</v>
      </c>
      <c r="J116" s="61">
        <f t="shared" si="47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8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3"/>
        <v>7479.86</v>
      </c>
      <c r="H119" s="40" t="e">
        <f t="shared" si="46"/>
        <v>#DIV/0!</v>
      </c>
      <c r="I119" s="53">
        <f t="shared" si="44"/>
        <v>7479.86</v>
      </c>
      <c r="J119" s="60" t="e">
        <f t="shared" si="47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 t="shared" si="49"/>
        <v>7479.86</v>
      </c>
      <c r="O119" s="53">
        <f t="shared" si="48"/>
        <v>7479.86</v>
      </c>
      <c r="P119" s="60" t="e">
        <f aca="true" t="shared" si="50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3"/>
        <v>7985.28</v>
      </c>
      <c r="H123" s="72" t="e">
        <f t="shared" si="46"/>
        <v>#DIV/0!</v>
      </c>
      <c r="I123" s="61">
        <f t="shared" si="44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8"/>
        <v>7985.28</v>
      </c>
      <c r="P123" s="61" t="e">
        <f t="shared" si="50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3"/>
        <v>0.16</v>
      </c>
      <c r="H124" s="40" t="e">
        <f t="shared" si="46"/>
        <v>#DIV/0!</v>
      </c>
      <c r="I124" s="60">
        <f t="shared" si="44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</v>
      </c>
      <c r="N124" s="40">
        <f t="shared" si="51"/>
        <v>0.16</v>
      </c>
      <c r="O124" s="53">
        <f t="shared" si="48"/>
        <v>0.16</v>
      </c>
      <c r="P124" s="60" t="e">
        <f t="shared" si="50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0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52" ref="G127:G134">F127-E127</f>
        <v>-712.4300000000001</v>
      </c>
      <c r="H127" s="40">
        <f>F127/E127*100</f>
        <v>2.4202164087111355</v>
      </c>
      <c r="I127" s="60">
        <f aca="true" t="shared" si="53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 t="shared" si="51"/>
        <v>730.1</v>
      </c>
      <c r="N127" s="40">
        <f t="shared" si="51"/>
        <v>17.67</v>
      </c>
      <c r="O127" s="53">
        <f aca="true" t="shared" si="54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52"/>
        <v>-703.72</v>
      </c>
      <c r="H129" s="72">
        <f>F129/E129*100</f>
        <v>3.6132036707300372</v>
      </c>
      <c r="I129" s="61">
        <f t="shared" si="53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4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</v>
      </c>
      <c r="N130" s="40">
        <f t="shared" si="55"/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302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52"/>
        <v>-9.24</v>
      </c>
      <c r="H132" s="40">
        <f>F132/E132*100</f>
        <v>0</v>
      </c>
      <c r="I132" s="60">
        <f t="shared" si="53"/>
        <v>-55.43</v>
      </c>
      <c r="J132" s="60">
        <f>F132/D132*100</f>
        <v>0</v>
      </c>
      <c r="K132" s="60"/>
      <c r="L132" s="60">
        <f>F132/65.9*100</f>
        <v>0</v>
      </c>
      <c r="M132" s="40">
        <f t="shared" si="55"/>
        <v>9.24</v>
      </c>
      <c r="N132" s="40">
        <f t="shared" si="55"/>
        <v>0</v>
      </c>
      <c r="O132" s="53">
        <f t="shared" si="5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52"/>
        <v>6475.59</v>
      </c>
      <c r="H133" s="51">
        <f>F133/E133*100</f>
        <v>497.4290676764639</v>
      </c>
      <c r="I133" s="36">
        <f t="shared" si="53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4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52"/>
        <v>5981.489999999998</v>
      </c>
      <c r="H134" s="51">
        <f>F134/E134*100</f>
        <v>116.21374805612245</v>
      </c>
      <c r="I134" s="36">
        <f t="shared" si="53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4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45"/>
      <c r="O138" s="145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45"/>
      <c r="O139" s="145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45"/>
      <c r="O140" s="145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2014-02-20T09:23:55Z</cp:lastPrinted>
  <dcterms:created xsi:type="dcterms:W3CDTF">2003-07-28T11:27:56Z</dcterms:created>
  <dcterms:modified xsi:type="dcterms:W3CDTF">2014-02-20T09:33:51Z</dcterms:modified>
  <cp:category/>
  <cp:version/>
  <cp:contentType/>
  <cp:contentStatus/>
</cp:coreProperties>
</file>